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<sst xmlns="http://schemas.openxmlformats.org/spreadsheetml/2006/main" count="120" uniqueCount="114">
  <si>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</si>
  <si>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</si>
  <si>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</si>
  <si>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</si>
  <si>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</si>
  <si>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</si>
  <si>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</si>
  <si>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</si>
  <si>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</si>
  <si>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</si>
  <si>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</si>
  <si>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</si>
  <si>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</si>
  <si>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</si>
  <si>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</si>
  <si>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</si>
  <si>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</si>
  <si>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</si>
  <si>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</si>
  <si>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</si>
  <si>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</si>
  <si>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</si>
  <si>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</si>
  <si>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</si>
  <si>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</si>
  <si>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</si>
  <si>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</si>
  <si>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</si>
  <si>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</si>
  <si>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</si>
  <si>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</si>
  <si>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</si>
  <si>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</si>
  <si>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</si>
  <si>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</si>
  <si>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</si>
  <si>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</si>
  <si>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</si>
  <si>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</si>
  <si>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</si>
  <si>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</si>
  <si>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</si>
  <si>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</si>
  <si>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</si>
  <si>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</si>
  <si>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</si>
  <si>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</si>
  <si>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</si>
  <si>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</si>
  <si>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</si>
  <si>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</si>
  <si>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</si>
  <si>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</si>
  <si>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</si>
  <si>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</si>
  <si>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</si>
  <si>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</si>
  <si>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</si>
  <si>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</si>
  <si>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</si>
  <si>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</si>
  <si>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</si>
  <si>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</si>
  <si>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</si>
  <si>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</si>
  <si>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</si>
  <si>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</si>
  <si>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</si>
  <si>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</si>
  <si>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</si>
  <si>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</si>
  <si>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</si>
  <si>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</si>
  <si>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</si>
  <si>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</si>
  <si>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</si>
  <si>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</si>
  <si>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</si>
  <si>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</si>
  <si>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</si>
  <si>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</si>
  <si>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</si>
  <si>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</si>
  <si>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</si>
  <si>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</si>
  <si>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</si>
  <si>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</si>
  <si>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</si>
  <si>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</si>
  <si>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</si>
  <si>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</si>
  <si>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</si>
  <si>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</si>
  <si>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</si>
  <si>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</si>
  <si>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</si>
  <si>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</si>
  <si>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</si>
  <si>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</si>
  <si>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</si>
  <si>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</si>
  <si>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</si>
  <si>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</si>
  <si>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</si>
  <si>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</si>
  <si>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</si>
  <si>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</si>
  <si>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</si>
  <si>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</si>
  <si>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</si>
  <si>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</si>
  <si>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</si>
  <si>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</si>
  <si>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23.05.19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</si>
</sst>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9" sqref="AI1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4" t="s">
        <v>13</v>
      </c>
      <c r="E1" s="105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0.25" customHeight="1">
      <c r="A4" s="120" t="s">
        <v>40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6" t="s">
        <v>3</v>
      </c>
      <c r="B7" s="13"/>
      <c r="C7" s="106" t="s">
        <v>0</v>
      </c>
      <c r="D7" s="107" t="s">
        <v>1</v>
      </c>
      <c r="E7" s="107" t="s">
        <v>16</v>
      </c>
      <c r="F7" s="107" t="s">
        <v>37</v>
      </c>
      <c r="G7" s="14" t="s">
        <v>38</v>
      </c>
      <c r="H7" s="112" t="s">
        <v>113</v>
      </c>
      <c r="I7" s="14" t="s">
        <v>38</v>
      </c>
      <c r="J7" s="108" t="s">
        <v>2</v>
      </c>
      <c r="K7" s="114" t="s">
        <v>104</v>
      </c>
    </row>
    <row r="8" spans="1:26" ht="39.75" customHeight="1">
      <c r="A8" s="106"/>
      <c r="B8" s="1" t="s">
        <v>17</v>
      </c>
      <c r="C8" s="106"/>
      <c r="D8" s="107"/>
      <c r="E8" s="107"/>
      <c r="F8" s="107"/>
      <c r="G8" s="49" t="s">
        <v>39</v>
      </c>
      <c r="H8" s="113"/>
      <c r="I8" s="49" t="s">
        <v>112</v>
      </c>
      <c r="J8" s="109"/>
      <c r="K8" s="115"/>
      <c r="M8" s="110" t="s">
        <v>105</v>
      </c>
      <c r="N8" s="108" t="s">
        <v>22</v>
      </c>
      <c r="O8" s="114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1"/>
      <c r="N9" s="109"/>
      <c r="O9" s="115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21" t="s">
        <v>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186569323.43</v>
      </c>
      <c r="E11" s="8">
        <f>E12+E28</f>
        <v>148446387.97</v>
      </c>
      <c r="F11" s="8">
        <f>F12+F28</f>
        <v>38122935.45999999</v>
      </c>
      <c r="G11" s="8">
        <f>G12+G28</f>
        <v>38105446.95999999</v>
      </c>
      <c r="H11" s="8">
        <f>H12+H28</f>
        <v>83544682.73</v>
      </c>
      <c r="I11" s="8"/>
      <c r="J11" s="38">
        <f aca="true" t="shared" si="0" ref="J11:J19">H11/D11*100</f>
        <v>44.779431684730106</v>
      </c>
      <c r="K11" s="38">
        <f>(H11/(N11+O11+P11+Q11+R11+O28+P28+Q28+R28))*100</f>
        <v>92.17636687193307</v>
      </c>
      <c r="L11" s="73"/>
      <c r="M11" s="46">
        <f>N11+O11+P11+Q11+R11-H12</f>
        <v>3040634.799999982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9217441.55</v>
      </c>
      <c r="T11" s="43">
        <f t="shared" si="1"/>
        <v>15096201.459999999</v>
      </c>
      <c r="U11" s="43">
        <f t="shared" si="1"/>
        <v>18720000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77844209.68</v>
      </c>
      <c r="I12" s="37"/>
      <c r="J12" s="51">
        <f t="shared" si="0"/>
        <v>52.433097889458615</v>
      </c>
      <c r="K12" s="66">
        <f>(H12/(N11+O11+P11+Q11+R11))*100</f>
        <v>96.24078550246601</v>
      </c>
      <c r="L12" s="73"/>
      <c r="M12" s="42">
        <f>(N12+O12+P12+Q12+R12)-(H13+H16+H17+H18)</f>
        <v>6833022.230000004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</f>
        <v>29683463.289999995</v>
      </c>
      <c r="I13" s="17"/>
      <c r="J13" s="17">
        <f t="shared" si="0"/>
        <v>59.38774317173655</v>
      </c>
      <c r="K13" s="116">
        <f>((H13+H16+H17+H18+H19)/(N12+O12+P12+Q12+R12))*100</f>
        <v>95.5683469136926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</f>
        <v>3197775.1999999993</v>
      </c>
      <c r="I16" s="17"/>
      <c r="J16" s="17">
        <f t="shared" si="0"/>
        <v>50.7583365079365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</f>
        <v>1549925</v>
      </c>
      <c r="I17" s="17"/>
      <c r="J17" s="17">
        <f t="shared" si="0"/>
        <v>31.631122448979593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38408709.52000001</v>
      </c>
      <c r="I20" s="33"/>
      <c r="J20" s="33">
        <f>H20/D20*100</f>
        <v>49.96781226483057</v>
      </c>
      <c r="K20" s="116">
        <f>(H20/(N20+O20+P20+Q20+R20))*100</f>
        <v>96.9411178967485</v>
      </c>
      <c r="L20" s="73"/>
      <c r="M20" s="42">
        <f>(N20+O20+P20+Q20+R20)-(H20)</f>
        <v>1211949.2399999872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</f>
        <v>4371158.550000001</v>
      </c>
      <c r="T20" s="77">
        <f>7537996.18+1346700-3000000</f>
        <v>5884696.18</v>
      </c>
      <c r="U20" s="77">
        <f>3600000+4000000-900000</f>
        <v>6700000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114006+331998.76+56510+62873+238344.54+631419+2322586+34370.27+174613.37+50308+391732.05+635171.2+12380+1096281.67+693893.52+198099.96+721502.98+324544.8+1576211.5+82613.98+229195.95</f>
        <v>9978656.55</v>
      </c>
      <c r="I21" s="21"/>
      <c r="J21" s="21">
        <f aca="true" t="shared" si="5" ref="J21:J27">H21/D21*100</f>
        <v>34.994536280771435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21"/>
      <c r="J23" s="94">
        <f t="shared" si="5"/>
        <v>0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</f>
        <v>694839.93</v>
      </c>
      <c r="I24" s="21"/>
      <c r="J24" s="21">
        <f t="shared" si="5"/>
        <v>38.60221833333334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</f>
        <v>118097.53</v>
      </c>
      <c r="I25" s="21"/>
      <c r="J25" s="21">
        <f t="shared" si="5"/>
        <v>2.6840305026787457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439827.18+2395357.39+26270+871602.96+519637+3866925.55+2570843.13+6291287.73+673745+651690+28388.01+273424.88+202223.55+934708.54+147500+3092371.24+405562.53+900173.68+1741760.42+275726.27+10927.06+55500.7+110823.39+344354.57+115698.8+231209.96</f>
        <v>27177539.540000007</v>
      </c>
      <c r="I27" s="21"/>
      <c r="J27" s="21">
        <f t="shared" si="5"/>
        <v>74.38869712362379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38105446.95999999</v>
      </c>
      <c r="E28" s="21"/>
      <c r="F28" s="51">
        <f>G28</f>
        <v>38105446.95999999</v>
      </c>
      <c r="G28" s="51">
        <f>SUM(G29:G80)</f>
        <v>38105446.95999999</v>
      </c>
      <c r="H28" s="51">
        <f>SUM(H29:H80)</f>
        <v>5700473.05</v>
      </c>
      <c r="I28" s="51"/>
      <c r="J28" s="51">
        <f>H28/D28*100</f>
        <v>14.959732806661194</v>
      </c>
      <c r="K28" s="66">
        <f>(H28/(N28+O28+P28+Q28+R28))*100</f>
        <v>58.46134261414843</v>
      </c>
      <c r="L28" s="73"/>
      <c r="M28" s="47">
        <f>(N28+O28+P28+Q28+R28)-H28</f>
        <v>4050368.7800000003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(H29/(N29+O29+P29+Q29+R29))*100</f>
        <v>5.870666666666667</v>
      </c>
      <c r="L29" s="73"/>
      <c r="M29" s="42">
        <f>(N29+O29+P29+Q29+R29)-H29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2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48">
        <f aca="true" t="shared" si="11" ref="K30:K80">(H30/(N30+O30+P30+Q30+R30))*100</f>
        <v>0</v>
      </c>
      <c r="L30" s="73"/>
      <c r="M30" s="42">
        <f aca="true" t="shared" si="12" ref="M30:M80">(N30+O30+P30+Q30+R30)-H30</f>
        <v>100000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3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/>
      <c r="I32" s="53"/>
      <c r="J32" s="84">
        <f t="shared" si="10"/>
        <v>0</v>
      </c>
      <c r="K32" s="48">
        <f t="shared" si="11"/>
        <v>0</v>
      </c>
      <c r="L32" s="73"/>
      <c r="M32" s="42">
        <f t="shared" si="12"/>
        <v>112000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106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48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107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48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48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48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108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48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109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48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48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/>
      <c r="I40" s="53"/>
      <c r="J40" s="84">
        <f t="shared" si="10"/>
        <v>0</v>
      </c>
      <c r="K40" s="48">
        <f t="shared" si="11"/>
        <v>0</v>
      </c>
      <c r="L40" s="73"/>
      <c r="M40" s="42">
        <f t="shared" si="12"/>
        <v>64000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48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48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1"/>
      <c r="I43" s="51"/>
      <c r="J43" s="84">
        <f t="shared" si="10"/>
        <v>0</v>
      </c>
      <c r="K43" s="48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1"/>
      <c r="I44" s="51"/>
      <c r="J44" s="84">
        <f t="shared" si="10"/>
        <v>0</v>
      </c>
      <c r="K44" s="48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1"/>
      <c r="I45" s="51"/>
      <c r="J45" s="84">
        <f t="shared" si="10"/>
        <v>0</v>
      </c>
      <c r="K45" s="48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110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1"/>
      <c r="I46" s="51"/>
      <c r="J46" s="84">
        <f t="shared" si="10"/>
        <v>0</v>
      </c>
      <c r="K46" s="48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1"/>
      <c r="I47" s="51"/>
      <c r="J47" s="84">
        <f t="shared" si="10"/>
        <v>0</v>
      </c>
      <c r="K47" s="48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17">
        <f>3709</f>
        <v>3709</v>
      </c>
      <c r="I48" s="17"/>
      <c r="J48" s="84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1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17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1"/>
      <c r="I51" s="51"/>
      <c r="J51" s="84">
        <f t="shared" si="10"/>
        <v>0</v>
      </c>
      <c r="K51" s="48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1"/>
      <c r="I52" s="51"/>
      <c r="J52" s="84">
        <f t="shared" si="10"/>
        <v>0</v>
      </c>
      <c r="K52" s="48">
        <f t="shared" si="11"/>
        <v>0</v>
      </c>
      <c r="L52" s="73"/>
      <c r="M52" s="42">
        <f t="shared" si="12"/>
        <v>115000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94.19166666666666</v>
      </c>
      <c r="L53" s="73"/>
      <c r="M53" s="42">
        <f t="shared" si="12"/>
        <v>13940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/>
      <c r="I55" s="53"/>
      <c r="J55" s="96">
        <f t="shared" si="10"/>
        <v>0</v>
      </c>
      <c r="K55" s="48">
        <f t="shared" si="11"/>
        <v>0</v>
      </c>
      <c r="L55" s="73"/>
      <c r="M55" s="42">
        <f t="shared" si="12"/>
        <v>600000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100000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800000</v>
      </c>
      <c r="E60" s="17"/>
      <c r="F60" s="17">
        <f t="shared" si="7"/>
        <v>800000</v>
      </c>
      <c r="G60" s="17">
        <v>800000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60000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600000</v>
      </c>
      <c r="E61" s="17"/>
      <c r="F61" s="17">
        <f t="shared" si="7"/>
        <v>600000</v>
      </c>
      <c r="G61" s="17">
        <v>600000</v>
      </c>
      <c r="H61" s="53"/>
      <c r="I61" s="53"/>
      <c r="J61" s="84">
        <f t="shared" si="10"/>
        <v>0</v>
      </c>
      <c r="K61" s="48">
        <f t="shared" si="11"/>
        <v>0</v>
      </c>
      <c r="L61" s="73"/>
      <c r="M61" s="42">
        <f t="shared" si="12"/>
        <v>60000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1000000</v>
      </c>
      <c r="E62" s="17"/>
      <c r="F62" s="17">
        <f>G62</f>
        <v>1000000</v>
      </c>
      <c r="G62" s="17">
        <v>1000000</v>
      </c>
      <c r="H62" s="53"/>
      <c r="I62" s="53"/>
      <c r="J62" s="84">
        <f t="shared" si="10"/>
        <v>0</v>
      </c>
      <c r="K62" s="48">
        <f t="shared" si="11"/>
        <v>0</v>
      </c>
      <c r="L62" s="73"/>
      <c r="M62" s="42">
        <f t="shared" si="12"/>
        <v>120000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29943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99.96885073779795</v>
      </c>
      <c r="L65" s="73"/>
      <c r="M65" s="42">
        <f t="shared" si="12"/>
        <v>548.8500000000931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t="shared" si="11"/>
        <v>#DIV/0!</v>
      </c>
      <c r="L68" s="73"/>
      <c r="M68" s="42">
        <f t="shared" si="12"/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4" ref="D69:D80">E69+F69</f>
        <v>0</v>
      </c>
      <c r="E69" s="21"/>
      <c r="F69" s="53">
        <f aca="true" t="shared" si="15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1"/>
        <v>#DIV/0!</v>
      </c>
      <c r="L69" s="73"/>
      <c r="M69" s="42">
        <f t="shared" si="12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4"/>
        <v>0</v>
      </c>
      <c r="E70" s="21"/>
      <c r="F70" s="53">
        <f t="shared" si="15"/>
        <v>0</v>
      </c>
      <c r="G70" s="54"/>
      <c r="H70" s="53"/>
      <c r="I70" s="53"/>
      <c r="J70" s="17" t="e">
        <f t="shared" si="10"/>
        <v>#DIV/0!</v>
      </c>
      <c r="K70" s="48" t="e">
        <f t="shared" si="11"/>
        <v>#DIV/0!</v>
      </c>
      <c r="L70" s="73"/>
      <c r="M70" s="42">
        <f t="shared" si="12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4"/>
        <v>0</v>
      </c>
      <c r="E71" s="21"/>
      <c r="F71" s="53">
        <f t="shared" si="15"/>
        <v>0</v>
      </c>
      <c r="G71" s="53"/>
      <c r="H71" s="53"/>
      <c r="I71" s="53"/>
      <c r="J71" s="17" t="e">
        <f t="shared" si="10"/>
        <v>#DIV/0!</v>
      </c>
      <c r="K71" s="48" t="e">
        <f t="shared" si="11"/>
        <v>#DIV/0!</v>
      </c>
      <c r="L71" s="73"/>
      <c r="M71" s="42">
        <f t="shared" si="12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4"/>
        <v>0</v>
      </c>
      <c r="E72" s="21"/>
      <c r="F72" s="53">
        <f t="shared" si="15"/>
        <v>0</v>
      </c>
      <c r="G72" s="54"/>
      <c r="H72" s="53"/>
      <c r="I72" s="53"/>
      <c r="J72" s="17" t="e">
        <f t="shared" si="10"/>
        <v>#DIV/0!</v>
      </c>
      <c r="K72" s="48" t="e">
        <f t="shared" si="11"/>
        <v>#DIV/0!</v>
      </c>
      <c r="L72" s="73"/>
      <c r="M72" s="42">
        <f t="shared" si="12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4"/>
        <v>0</v>
      </c>
      <c r="E73" s="21"/>
      <c r="F73" s="53">
        <f t="shared" si="15"/>
        <v>0</v>
      </c>
      <c r="G73" s="53"/>
      <c r="H73" s="53"/>
      <c r="I73" s="53"/>
      <c r="J73" s="17" t="e">
        <f t="shared" si="10"/>
        <v>#DIV/0!</v>
      </c>
      <c r="K73" s="48" t="e">
        <f t="shared" si="11"/>
        <v>#DIV/0!</v>
      </c>
      <c r="L73" s="73"/>
      <c r="M73" s="42">
        <f t="shared" si="12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3"/>
      <c r="H74" s="53"/>
      <c r="I74" s="53"/>
      <c r="J74" s="17" t="e">
        <f t="shared" si="10"/>
        <v>#DIV/0!</v>
      </c>
      <c r="K74" s="48" t="e">
        <f t="shared" si="11"/>
        <v>#DIV/0!</v>
      </c>
      <c r="L74" s="73"/>
      <c r="M74" s="42">
        <f t="shared" si="12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0"/>
        <v>#DIV/0!</v>
      </c>
      <c r="K75" s="48" t="e">
        <f t="shared" si="11"/>
        <v>#DIV/0!</v>
      </c>
      <c r="L75" s="73"/>
      <c r="M75" s="42">
        <f t="shared" si="12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3"/>
      <c r="H76" s="53"/>
      <c r="I76" s="53"/>
      <c r="J76" s="17" t="e">
        <f t="shared" si="10"/>
        <v>#DIV/0!</v>
      </c>
      <c r="K76" s="48" t="e">
        <f t="shared" si="11"/>
        <v>#DIV/0!</v>
      </c>
      <c r="L76" s="73"/>
      <c r="M76" s="42">
        <f t="shared" si="12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0"/>
        <v>#DIV/0!</v>
      </c>
      <c r="K77" s="48" t="e">
        <f t="shared" si="11"/>
        <v>#DIV/0!</v>
      </c>
      <c r="L77" s="73"/>
      <c r="M77" s="42">
        <f t="shared" si="12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5"/>
        <v>0</v>
      </c>
      <c r="G78" s="53"/>
      <c r="H78" s="53"/>
      <c r="I78" s="53"/>
      <c r="J78" s="17" t="e">
        <f t="shared" si="10"/>
        <v>#DIV/0!</v>
      </c>
      <c r="K78" s="48" t="e">
        <f t="shared" si="11"/>
        <v>#DIV/0!</v>
      </c>
      <c r="L78" s="73"/>
      <c r="M78" s="42">
        <f t="shared" si="12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0"/>
        <v>#DIV/0!</v>
      </c>
      <c r="K79" s="48" t="e">
        <f t="shared" si="11"/>
        <v>#DIV/0!</v>
      </c>
      <c r="L79" s="73"/>
      <c r="M79" s="42">
        <f t="shared" si="12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0"/>
        <v>#DIV/0!</v>
      </c>
      <c r="K80" s="48" t="e">
        <f t="shared" si="11"/>
        <v>#DIV/0!</v>
      </c>
      <c r="L80" s="73"/>
      <c r="M80" s="42">
        <f t="shared" si="12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01" t="s">
        <v>36</v>
      </c>
      <c r="B81" s="102"/>
      <c r="C81" s="102"/>
      <c r="D81" s="102"/>
      <c r="E81" s="102"/>
      <c r="F81" s="102"/>
      <c r="G81" s="103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221900290</v>
      </c>
      <c r="E82" s="55"/>
      <c r="F82" s="8">
        <f>SUM(F83:F110)</f>
        <v>221900290</v>
      </c>
      <c r="G82" s="8">
        <f>SUM(G83:G110)</f>
        <v>221900290</v>
      </c>
      <c r="H82" s="8">
        <f>SUM(H83:H110)</f>
        <v>16135068.82</v>
      </c>
      <c r="I82" s="8"/>
      <c r="J82" s="8">
        <f aca="true" t="shared" si="16" ref="J82:J110">H82/D82*100</f>
        <v>7.2713148865195265</v>
      </c>
      <c r="K82" s="8">
        <f>(H82/(N82+O82+P82+Q82+R82))*100</f>
        <v>48.212793059921296</v>
      </c>
      <c r="L82" s="73"/>
      <c r="M82" s="97">
        <f>(N82+O82+P82+Q82+R82)-H82</f>
        <v>17331295.18</v>
      </c>
      <c r="N82" s="59">
        <f aca="true" t="shared" si="17" ref="N82:Y82">SUM(N83:N110)</f>
        <v>0</v>
      </c>
      <c r="O82" s="47">
        <f t="shared" si="17"/>
        <v>150000</v>
      </c>
      <c r="P82" s="47">
        <f t="shared" si="17"/>
        <v>19400000</v>
      </c>
      <c r="Q82" s="47">
        <f t="shared" si="17"/>
        <v>2949500</v>
      </c>
      <c r="R82" s="47">
        <f t="shared" si="17"/>
        <v>10966864</v>
      </c>
      <c r="S82" s="47">
        <f t="shared" si="17"/>
        <v>4813000.85</v>
      </c>
      <c r="T82" s="47">
        <f t="shared" si="17"/>
        <v>26900600</v>
      </c>
      <c r="U82" s="47">
        <f t="shared" si="17"/>
        <v>34368600</v>
      </c>
      <c r="V82" s="47">
        <f t="shared" si="17"/>
        <v>23351600</v>
      </c>
      <c r="W82" s="47">
        <f t="shared" si="17"/>
        <v>29307000.42</v>
      </c>
      <c r="X82" s="47">
        <f t="shared" si="17"/>
        <v>46902500</v>
      </c>
      <c r="Y82" s="47">
        <f t="shared" si="17"/>
        <v>22790624.73</v>
      </c>
      <c r="Z82" s="42">
        <f t="shared" si="13"/>
        <v>221900289.99999997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/>
      <c r="I83" s="54"/>
      <c r="J83" s="84">
        <f t="shared" si="16"/>
        <v>0</v>
      </c>
      <c r="K83" s="95">
        <f>(H83/(N83+O83+P83+Q83+R83))*100</f>
        <v>0</v>
      </c>
      <c r="L83" s="73"/>
      <c r="M83" s="42">
        <f>(N83+O83+P83+Q83+R83)-H83</f>
        <v>35000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/>
      <c r="I84" s="54"/>
      <c r="J84" s="84">
        <f t="shared" si="16"/>
        <v>0</v>
      </c>
      <c r="K84" s="95">
        <f aca="true" t="shared" si="18" ref="K84:K110">(H84/(N84+O84+P84+Q84+R84))*100</f>
        <v>0</v>
      </c>
      <c r="L84" s="73"/>
      <c r="M84" s="42">
        <f aca="true" t="shared" si="19" ref="M84:M111">(N84+O84+P84+Q84+R84)-H84</f>
        <v>300000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/>
      <c r="I85" s="54"/>
      <c r="J85" s="84">
        <f t="shared" si="16"/>
        <v>0</v>
      </c>
      <c r="K85" s="95">
        <f t="shared" si="18"/>
        <v>0</v>
      </c>
      <c r="L85" s="73"/>
      <c r="M85" s="42">
        <f t="shared" si="19"/>
        <v>300000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/>
      <c r="I86" s="54"/>
      <c r="J86" s="84">
        <f t="shared" si="16"/>
        <v>0</v>
      </c>
      <c r="K86" s="95">
        <f t="shared" si="18"/>
        <v>0</v>
      </c>
      <c r="L86" s="73"/>
      <c r="M86" s="42">
        <f t="shared" si="19"/>
        <v>299500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0" ref="D87:D110">F87</f>
        <v>1703200</v>
      </c>
      <c r="E87" s="17"/>
      <c r="F87" s="17">
        <f aca="true" t="shared" si="21" ref="F87:F110">G87</f>
        <v>1703200</v>
      </c>
      <c r="G87" s="17">
        <v>1703200</v>
      </c>
      <c r="H87" s="54">
        <f>358906.8+4423.32</f>
        <v>363330.12</v>
      </c>
      <c r="I87" s="54"/>
      <c r="J87" s="17">
        <f t="shared" si="16"/>
        <v>21.332205260685768</v>
      </c>
      <c r="K87" s="95">
        <f t="shared" si="18"/>
        <v>36.333012</v>
      </c>
      <c r="L87" s="73"/>
      <c r="M87" s="42">
        <f t="shared" si="19"/>
        <v>636669.88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101</v>
      </c>
      <c r="D88" s="75">
        <f t="shared" si="20"/>
        <v>1000000</v>
      </c>
      <c r="E88" s="17"/>
      <c r="F88" s="17">
        <f t="shared" si="21"/>
        <v>1000000</v>
      </c>
      <c r="G88" s="17">
        <v>1000000</v>
      </c>
      <c r="H88" s="54">
        <f>21199</f>
        <v>21199</v>
      </c>
      <c r="I88" s="54"/>
      <c r="J88" s="98">
        <f t="shared" si="16"/>
        <v>2.1199</v>
      </c>
      <c r="K88" s="95">
        <f t="shared" si="18"/>
        <v>21.199</v>
      </c>
      <c r="L88" s="73"/>
      <c r="M88" s="42">
        <f t="shared" si="19"/>
        <v>78801</v>
      </c>
      <c r="N88" s="87"/>
      <c r="O88" s="87"/>
      <c r="P88" s="87">
        <v>100000</v>
      </c>
      <c r="Q88" s="87"/>
      <c r="R88" s="87"/>
      <c r="S88" s="87"/>
      <c r="T88" s="87"/>
      <c r="U88" s="87">
        <v>450000</v>
      </c>
      <c r="V88" s="87"/>
      <c r="W88" s="87">
        <v>450000</v>
      </c>
      <c r="X88" s="87"/>
      <c r="Y88" s="87"/>
      <c r="Z88" s="42">
        <f t="shared" si="13"/>
        <v>1000000</v>
      </c>
      <c r="AA88" s="45">
        <f t="shared" si="8"/>
        <v>0</v>
      </c>
    </row>
    <row r="89" spans="1:27" ht="18">
      <c r="A89" s="56"/>
      <c r="B89" s="18"/>
      <c r="C89" s="81" t="s">
        <v>78</v>
      </c>
      <c r="D89" s="75">
        <f t="shared" si="20"/>
        <v>20000000</v>
      </c>
      <c r="E89" s="17"/>
      <c r="F89" s="17">
        <f t="shared" si="21"/>
        <v>20000000</v>
      </c>
      <c r="G89" s="17">
        <v>20000000</v>
      </c>
      <c r="H89" s="54">
        <f>5000000+2023964+15336.5</f>
        <v>7039300.5</v>
      </c>
      <c r="I89" s="54"/>
      <c r="J89" s="75">
        <f t="shared" si="16"/>
        <v>35.1965025</v>
      </c>
      <c r="K89" s="95">
        <f t="shared" si="18"/>
        <v>83.30533136094674</v>
      </c>
      <c r="L89" s="73"/>
      <c r="M89" s="42">
        <f t="shared" si="19"/>
        <v>1410699.5</v>
      </c>
      <c r="N89" s="87"/>
      <c r="O89" s="87"/>
      <c r="P89" s="87">
        <f>10000000-2900000-500000</f>
        <v>6600000</v>
      </c>
      <c r="Q89" s="87">
        <f>-350000</f>
        <v>-350000</v>
      </c>
      <c r="R89" s="87">
        <f>5000000+2900000-1000000-4700000</f>
        <v>2200000</v>
      </c>
      <c r="S89" s="87"/>
      <c r="T89" s="87">
        <f>1000000+3000000</f>
        <v>4000000</v>
      </c>
      <c r="U89" s="87">
        <f>5000000+350000+1700000</f>
        <v>7050000</v>
      </c>
      <c r="V89" s="87"/>
      <c r="W89" s="87"/>
      <c r="X89" s="87"/>
      <c r="Y89" s="87">
        <v>500000</v>
      </c>
      <c r="Z89" s="42">
        <f t="shared" si="13"/>
        <v>20000000</v>
      </c>
      <c r="AA89" s="45">
        <f t="shared" si="8"/>
        <v>0</v>
      </c>
    </row>
    <row r="90" spans="1:27" ht="18">
      <c r="A90" s="56"/>
      <c r="B90" s="18"/>
      <c r="C90" s="81" t="s">
        <v>79</v>
      </c>
      <c r="D90" s="75">
        <f t="shared" si="20"/>
        <v>30000000</v>
      </c>
      <c r="E90" s="17"/>
      <c r="F90" s="17">
        <f t="shared" si="21"/>
        <v>30000000</v>
      </c>
      <c r="G90" s="17">
        <v>30000000</v>
      </c>
      <c r="H90" s="54">
        <f>847001.35</f>
        <v>847001.35</v>
      </c>
      <c r="I90" s="54"/>
      <c r="J90" s="75">
        <f t="shared" si="16"/>
        <v>2.8233378333333334</v>
      </c>
      <c r="K90" s="95">
        <f t="shared" si="18"/>
        <v>99.64721764705882</v>
      </c>
      <c r="L90" s="73"/>
      <c r="M90" s="42">
        <f t="shared" si="19"/>
        <v>2998.6500000000233</v>
      </c>
      <c r="N90" s="87"/>
      <c r="O90" s="87"/>
      <c r="P90" s="87">
        <v>500000</v>
      </c>
      <c r="Q90" s="87">
        <f>350000</f>
        <v>350000</v>
      </c>
      <c r="R90" s="87"/>
      <c r="S90" s="87"/>
      <c r="T90" s="87">
        <v>600</v>
      </c>
      <c r="U90" s="87">
        <f>10000000-350000</f>
        <v>9650000</v>
      </c>
      <c r="V90" s="87"/>
      <c r="W90" s="87">
        <v>9377191.27</v>
      </c>
      <c r="X90" s="87">
        <v>6433600</v>
      </c>
      <c r="Y90" s="87">
        <v>3688608.73</v>
      </c>
      <c r="Z90" s="42">
        <f t="shared" si="13"/>
        <v>30000000</v>
      </c>
      <c r="AA90" s="45">
        <f t="shared" si="8"/>
        <v>0</v>
      </c>
    </row>
    <row r="91" spans="1:27" ht="18">
      <c r="A91" s="56"/>
      <c r="B91" s="18"/>
      <c r="C91" s="81" t="s">
        <v>111</v>
      </c>
      <c r="D91" s="75">
        <f t="shared" si="20"/>
        <v>9000</v>
      </c>
      <c r="E91" s="17"/>
      <c r="F91" s="17">
        <f t="shared" si="21"/>
        <v>9000</v>
      </c>
      <c r="G91" s="17">
        <v>9000</v>
      </c>
      <c r="H91" s="54">
        <f>8836.6</f>
        <v>8836.6</v>
      </c>
      <c r="I91" s="54"/>
      <c r="J91" s="75">
        <f t="shared" si="16"/>
        <v>98.18444444444445</v>
      </c>
      <c r="K91" s="95">
        <f t="shared" si="18"/>
        <v>98.18444444444445</v>
      </c>
      <c r="L91" s="73"/>
      <c r="M91" s="42">
        <f t="shared" si="19"/>
        <v>163.39999999999964</v>
      </c>
      <c r="N91" s="87"/>
      <c r="O91" s="87"/>
      <c r="P91" s="87"/>
      <c r="Q91" s="87"/>
      <c r="R91" s="87">
        <f>9000</f>
        <v>9000</v>
      </c>
      <c r="S91" s="87"/>
      <c r="T91" s="87"/>
      <c r="U91" s="87"/>
      <c r="V91" s="87"/>
      <c r="W91" s="87"/>
      <c r="X91" s="87"/>
      <c r="Y91" s="87"/>
      <c r="Z91" s="42">
        <f t="shared" si="13"/>
        <v>9000</v>
      </c>
      <c r="AA91" s="45">
        <f t="shared" si="8"/>
        <v>0</v>
      </c>
    </row>
    <row r="92" spans="1:27" ht="18">
      <c r="A92" s="56"/>
      <c r="B92" s="18"/>
      <c r="C92" s="81" t="s">
        <v>80</v>
      </c>
      <c r="D92" s="75">
        <f t="shared" si="20"/>
        <v>1500000</v>
      </c>
      <c r="E92" s="17"/>
      <c r="F92" s="17">
        <f t="shared" si="21"/>
        <v>1500000</v>
      </c>
      <c r="G92" s="17">
        <f>2000000-500000</f>
        <v>1500000</v>
      </c>
      <c r="H92" s="54"/>
      <c r="I92" s="54"/>
      <c r="J92" s="84">
        <f t="shared" si="16"/>
        <v>0</v>
      </c>
      <c r="K92" s="95">
        <f t="shared" si="18"/>
        <v>0</v>
      </c>
      <c r="L92" s="73"/>
      <c r="M92" s="42">
        <f t="shared" si="19"/>
        <v>500000</v>
      </c>
      <c r="N92" s="87"/>
      <c r="O92" s="87"/>
      <c r="P92" s="87">
        <v>100000</v>
      </c>
      <c r="Q92" s="87"/>
      <c r="R92" s="87">
        <v>400000</v>
      </c>
      <c r="S92" s="87"/>
      <c r="T92" s="87">
        <v>500000</v>
      </c>
      <c r="U92" s="87"/>
      <c r="V92" s="87">
        <v>500000</v>
      </c>
      <c r="W92" s="87"/>
      <c r="X92" s="87"/>
      <c r="Y92" s="87"/>
      <c r="Z92" s="42">
        <f t="shared" si="13"/>
        <v>1500000</v>
      </c>
      <c r="AA92" s="45">
        <f t="shared" si="8"/>
        <v>0</v>
      </c>
    </row>
    <row r="93" spans="1:27" ht="18">
      <c r="A93" s="56"/>
      <c r="B93" s="18"/>
      <c r="C93" s="81" t="s">
        <v>81</v>
      </c>
      <c r="D93" s="75">
        <f t="shared" si="20"/>
        <v>34000000</v>
      </c>
      <c r="E93" s="17"/>
      <c r="F93" s="17">
        <f t="shared" si="21"/>
        <v>34000000</v>
      </c>
      <c r="G93" s="17">
        <f>40000000-5000000-1000000</f>
        <v>34000000</v>
      </c>
      <c r="H93" s="54"/>
      <c r="I93" s="54"/>
      <c r="J93" s="84">
        <f t="shared" si="16"/>
        <v>0</v>
      </c>
      <c r="K93" s="95">
        <f t="shared" si="18"/>
        <v>0</v>
      </c>
      <c r="L93" s="73"/>
      <c r="M93" s="42">
        <f t="shared" si="19"/>
        <v>521004</v>
      </c>
      <c r="N93" s="87"/>
      <c r="O93" s="87"/>
      <c r="P93" s="87"/>
      <c r="Q93" s="87"/>
      <c r="R93" s="87">
        <f>521004+1000000-1000000</f>
        <v>521004</v>
      </c>
      <c r="S93" s="87"/>
      <c r="T93" s="87">
        <f>3000000-1000000</f>
        <v>2000000</v>
      </c>
      <c r="U93" s="87"/>
      <c r="V93" s="87">
        <v>1000000</v>
      </c>
      <c r="W93" s="87"/>
      <c r="X93" s="87">
        <v>20000000</v>
      </c>
      <c r="Y93" s="87">
        <f>15478996-5000000</f>
        <v>10478996</v>
      </c>
      <c r="Z93" s="42">
        <f t="shared" si="13"/>
        <v>34000000</v>
      </c>
      <c r="AA93" s="45">
        <f aca="true" t="shared" si="22" ref="AA93:AA111">Z93-D93</f>
        <v>0</v>
      </c>
    </row>
    <row r="94" spans="1:27" ht="18">
      <c r="A94" s="56"/>
      <c r="B94" s="18"/>
      <c r="C94" s="81" t="s">
        <v>102</v>
      </c>
      <c r="D94" s="75">
        <f>F94</f>
        <v>4000000</v>
      </c>
      <c r="E94" s="17"/>
      <c r="F94" s="17">
        <f>G94</f>
        <v>4000000</v>
      </c>
      <c r="G94" s="17">
        <v>4000000</v>
      </c>
      <c r="H94" s="54"/>
      <c r="I94" s="54"/>
      <c r="J94" s="84"/>
      <c r="K94" s="95" t="e">
        <f t="shared" si="18"/>
        <v>#DIV/0!</v>
      </c>
      <c r="L94" s="73"/>
      <c r="M94" s="42">
        <f t="shared" si="19"/>
        <v>0</v>
      </c>
      <c r="N94" s="87"/>
      <c r="O94" s="87"/>
      <c r="P94" s="87"/>
      <c r="Q94" s="87"/>
      <c r="R94" s="87"/>
      <c r="S94" s="87"/>
      <c r="T94" s="87"/>
      <c r="U94" s="87"/>
      <c r="V94" s="87"/>
      <c r="W94" s="87">
        <f>1000000</f>
        <v>1000000</v>
      </c>
      <c r="X94" s="87">
        <f>1000000</f>
        <v>1000000</v>
      </c>
      <c r="Y94" s="87">
        <f>2000000</f>
        <v>2000000</v>
      </c>
      <c r="Z94" s="42">
        <f aca="true" t="shared" si="23" ref="Z94:Z111">SUM(N94:Y94)</f>
        <v>4000000</v>
      </c>
      <c r="AA94" s="45">
        <f t="shared" si="22"/>
        <v>0</v>
      </c>
    </row>
    <row r="95" spans="1:27" s="93" customFormat="1" ht="18">
      <c r="A95" s="88"/>
      <c r="B95" s="89"/>
      <c r="C95" s="90" t="s">
        <v>82</v>
      </c>
      <c r="D95" s="75">
        <f t="shared" si="20"/>
        <v>700000</v>
      </c>
      <c r="E95" s="75"/>
      <c r="F95" s="75">
        <f t="shared" si="21"/>
        <v>700000</v>
      </c>
      <c r="G95" s="75">
        <v>700000</v>
      </c>
      <c r="H95" s="91">
        <f>13651</f>
        <v>13651</v>
      </c>
      <c r="I95" s="91"/>
      <c r="J95" s="99">
        <f t="shared" si="16"/>
        <v>1.9501428571428572</v>
      </c>
      <c r="K95" s="95">
        <f t="shared" si="18"/>
        <v>99.64233576642336</v>
      </c>
      <c r="L95" s="92"/>
      <c r="M95" s="42">
        <f t="shared" si="19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t="shared" si="23"/>
        <v>700000</v>
      </c>
      <c r="AA95" s="45">
        <f t="shared" si="22"/>
        <v>0</v>
      </c>
    </row>
    <row r="96" spans="1:27" ht="18">
      <c r="A96" s="56"/>
      <c r="B96" s="18"/>
      <c r="C96" s="81" t="s">
        <v>83</v>
      </c>
      <c r="D96" s="75">
        <f t="shared" si="20"/>
        <v>600000</v>
      </c>
      <c r="E96" s="17"/>
      <c r="F96" s="17">
        <f t="shared" si="21"/>
        <v>600000</v>
      </c>
      <c r="G96" s="17">
        <v>600000</v>
      </c>
      <c r="H96" s="54"/>
      <c r="I96" s="54"/>
      <c r="J96" s="84">
        <f t="shared" si="16"/>
        <v>0</v>
      </c>
      <c r="K96" s="95" t="e">
        <f t="shared" si="18"/>
        <v>#DIV/0!</v>
      </c>
      <c r="L96" s="73"/>
      <c r="M96" s="42">
        <f t="shared" si="19"/>
        <v>0</v>
      </c>
      <c r="N96" s="87"/>
      <c r="O96" s="87"/>
      <c r="P96" s="87"/>
      <c r="Q96" s="87"/>
      <c r="R96" s="87"/>
      <c r="S96" s="87"/>
      <c r="T96" s="87">
        <v>300000</v>
      </c>
      <c r="U96" s="87"/>
      <c r="V96" s="87"/>
      <c r="W96" s="87"/>
      <c r="X96" s="87">
        <v>300000</v>
      </c>
      <c r="Y96" s="87"/>
      <c r="Z96" s="42">
        <f t="shared" si="23"/>
        <v>600000</v>
      </c>
      <c r="AA96" s="45">
        <f t="shared" si="22"/>
        <v>0</v>
      </c>
    </row>
    <row r="97" spans="1:27" ht="24" customHeight="1">
      <c r="A97" s="56"/>
      <c r="B97" s="18"/>
      <c r="C97" s="81" t="s">
        <v>84</v>
      </c>
      <c r="D97" s="75">
        <f t="shared" si="20"/>
        <v>500000</v>
      </c>
      <c r="E97" s="17"/>
      <c r="F97" s="17">
        <f t="shared" si="21"/>
        <v>500000</v>
      </c>
      <c r="G97" s="17">
        <v>500000</v>
      </c>
      <c r="H97" s="54"/>
      <c r="I97" s="54"/>
      <c r="J97" s="84">
        <f t="shared" si="16"/>
        <v>0</v>
      </c>
      <c r="K97" s="95" t="e">
        <f>(H97/(N97+O97+P97+Q97+R97))*100</f>
        <v>#DIV/0!</v>
      </c>
      <c r="L97" s="73"/>
      <c r="M97" s="42">
        <f t="shared" si="19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3"/>
        <v>500000</v>
      </c>
      <c r="AA97" s="45">
        <f t="shared" si="22"/>
        <v>0</v>
      </c>
    </row>
    <row r="98" spans="1:27" ht="24" customHeight="1">
      <c r="A98" s="56"/>
      <c r="B98" s="18"/>
      <c r="C98" s="81" t="s">
        <v>85</v>
      </c>
      <c r="D98" s="75">
        <f t="shared" si="20"/>
        <v>1241860</v>
      </c>
      <c r="E98" s="17"/>
      <c r="F98" s="17">
        <f t="shared" si="21"/>
        <v>1241860</v>
      </c>
      <c r="G98" s="17">
        <v>1241860</v>
      </c>
      <c r="H98" s="54"/>
      <c r="I98" s="54"/>
      <c r="J98" s="84">
        <f t="shared" si="16"/>
        <v>0</v>
      </c>
      <c r="K98" s="95">
        <f t="shared" si="18"/>
        <v>0</v>
      </c>
      <c r="L98" s="73"/>
      <c r="M98" s="42">
        <f t="shared" si="19"/>
        <v>1041860</v>
      </c>
      <c r="N98" s="87"/>
      <c r="O98" s="87"/>
      <c r="P98" s="87">
        <v>600000</v>
      </c>
      <c r="Q98" s="87">
        <v>200000</v>
      </c>
      <c r="R98" s="87">
        <v>241860</v>
      </c>
      <c r="S98" s="87"/>
      <c r="T98" s="87"/>
      <c r="U98" s="87"/>
      <c r="V98" s="87"/>
      <c r="W98" s="87"/>
      <c r="X98" s="87">
        <v>200000</v>
      </c>
      <c r="Y98" s="87"/>
      <c r="Z98" s="42">
        <f t="shared" si="23"/>
        <v>1241860</v>
      </c>
      <c r="AA98" s="45">
        <f t="shared" si="22"/>
        <v>0</v>
      </c>
    </row>
    <row r="99" spans="1:27" ht="24" customHeight="1">
      <c r="A99" s="56"/>
      <c r="B99" s="18"/>
      <c r="C99" s="81" t="s">
        <v>86</v>
      </c>
      <c r="D99" s="75">
        <f t="shared" si="20"/>
        <v>3049770</v>
      </c>
      <c r="E99" s="17"/>
      <c r="F99" s="17">
        <f t="shared" si="21"/>
        <v>3049770</v>
      </c>
      <c r="G99" s="17">
        <f>3753010-703240</f>
        <v>3049770</v>
      </c>
      <c r="H99" s="54"/>
      <c r="I99" s="54"/>
      <c r="J99" s="84">
        <f t="shared" si="16"/>
        <v>0</v>
      </c>
      <c r="K99" s="95">
        <f t="shared" si="18"/>
        <v>0</v>
      </c>
      <c r="L99" s="73"/>
      <c r="M99" s="42">
        <f t="shared" si="19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3"/>
        <v>3049770</v>
      </c>
      <c r="AA99" s="45">
        <f t="shared" si="22"/>
        <v>0</v>
      </c>
    </row>
    <row r="100" spans="1:27" ht="18">
      <c r="A100" s="56"/>
      <c r="B100" s="18"/>
      <c r="C100" s="81" t="s">
        <v>87</v>
      </c>
      <c r="D100" s="17">
        <f t="shared" si="20"/>
        <v>21323020</v>
      </c>
      <c r="E100" s="17"/>
      <c r="F100" s="17">
        <f t="shared" si="21"/>
        <v>21323020</v>
      </c>
      <c r="G100" s="17">
        <v>21323020</v>
      </c>
      <c r="H100" s="54">
        <f>2217023.25</f>
        <v>2217023.25</v>
      </c>
      <c r="I100" s="54"/>
      <c r="J100" s="98">
        <f t="shared" si="16"/>
        <v>10.397322940183894</v>
      </c>
      <c r="K100" s="95">
        <f t="shared" si="18"/>
        <v>42.747686211750185</v>
      </c>
      <c r="L100" s="73"/>
      <c r="M100" s="42">
        <f t="shared" si="19"/>
        <v>2969276.75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3"/>
        <v>21323020</v>
      </c>
      <c r="AA100" s="45">
        <f t="shared" si="22"/>
        <v>0</v>
      </c>
    </row>
    <row r="101" spans="1:27" ht="18">
      <c r="A101" s="56"/>
      <c r="B101" s="18"/>
      <c r="C101" s="81" t="s">
        <v>88</v>
      </c>
      <c r="D101" s="17">
        <f t="shared" si="20"/>
        <v>10000000</v>
      </c>
      <c r="E101" s="17"/>
      <c r="F101" s="17">
        <f t="shared" si="21"/>
        <v>10000000</v>
      </c>
      <c r="G101" s="17">
        <v>10000000</v>
      </c>
      <c r="H101" s="54">
        <f>265304</f>
        <v>265304</v>
      </c>
      <c r="I101" s="54"/>
      <c r="J101" s="99">
        <f t="shared" si="16"/>
        <v>2.65304</v>
      </c>
      <c r="K101" s="95">
        <f t="shared" si="18"/>
        <v>73.69555555555556</v>
      </c>
      <c r="L101" s="73"/>
      <c r="M101" s="42">
        <f t="shared" si="19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3"/>
        <v>10000000</v>
      </c>
      <c r="AA101" s="45">
        <f t="shared" si="22"/>
        <v>0</v>
      </c>
    </row>
    <row r="102" spans="1:27" ht="18">
      <c r="A102" s="56"/>
      <c r="B102" s="18"/>
      <c r="C102" s="81" t="s">
        <v>89</v>
      </c>
      <c r="D102" s="17">
        <f t="shared" si="20"/>
        <v>950000</v>
      </c>
      <c r="E102" s="17"/>
      <c r="F102" s="17">
        <f t="shared" si="21"/>
        <v>950000</v>
      </c>
      <c r="G102" s="17">
        <v>950000</v>
      </c>
      <c r="H102" s="54"/>
      <c r="I102" s="54"/>
      <c r="J102" s="84">
        <f t="shared" si="16"/>
        <v>0</v>
      </c>
      <c r="K102" s="95" t="e">
        <f t="shared" si="18"/>
        <v>#DIV/0!</v>
      </c>
      <c r="L102" s="73"/>
      <c r="M102" s="42">
        <f t="shared" si="19"/>
        <v>0</v>
      </c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>
        <v>950000</v>
      </c>
      <c r="Y102" s="87"/>
      <c r="Z102" s="42">
        <f t="shared" si="23"/>
        <v>950000</v>
      </c>
      <c r="AA102" s="45">
        <f t="shared" si="22"/>
        <v>0</v>
      </c>
    </row>
    <row r="103" spans="1:27" ht="18">
      <c r="A103" s="56"/>
      <c r="B103" s="18"/>
      <c r="C103" s="81" t="s">
        <v>90</v>
      </c>
      <c r="D103" s="17">
        <f t="shared" si="20"/>
        <v>37000000</v>
      </c>
      <c r="E103" s="17"/>
      <c r="F103" s="17">
        <f t="shared" si="21"/>
        <v>37000000</v>
      </c>
      <c r="G103" s="17">
        <v>37000000</v>
      </c>
      <c r="H103" s="54"/>
      <c r="I103" s="54"/>
      <c r="J103" s="84">
        <f t="shared" si="16"/>
        <v>0</v>
      </c>
      <c r="K103" s="95">
        <f t="shared" si="18"/>
        <v>0</v>
      </c>
      <c r="L103" s="73"/>
      <c r="M103" s="42">
        <f t="shared" si="19"/>
        <v>2200000</v>
      </c>
      <c r="N103" s="87"/>
      <c r="O103" s="87"/>
      <c r="P103" s="87"/>
      <c r="Q103" s="87">
        <v>2200000</v>
      </c>
      <c r="R103" s="87"/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v>3005000</v>
      </c>
      <c r="Y103" s="87"/>
      <c r="Z103" s="42">
        <f t="shared" si="23"/>
        <v>37000000</v>
      </c>
      <c r="AA103" s="45">
        <f t="shared" si="22"/>
        <v>0</v>
      </c>
    </row>
    <row r="104" spans="1:27" ht="18">
      <c r="A104" s="56"/>
      <c r="B104" s="18"/>
      <c r="C104" s="81" t="s">
        <v>91</v>
      </c>
      <c r="D104" s="17">
        <f t="shared" si="20"/>
        <v>18000000</v>
      </c>
      <c r="E104" s="17"/>
      <c r="F104" s="17">
        <f t="shared" si="21"/>
        <v>18000000</v>
      </c>
      <c r="G104" s="17">
        <v>18000000</v>
      </c>
      <c r="H104" s="54">
        <f>983986</f>
        <v>983986</v>
      </c>
      <c r="I104" s="54"/>
      <c r="J104" s="17">
        <f t="shared" si="16"/>
        <v>5.4665888888888885</v>
      </c>
      <c r="K104" s="95">
        <f t="shared" si="18"/>
        <v>98.3986</v>
      </c>
      <c r="L104" s="73"/>
      <c r="M104" s="42">
        <f t="shared" si="19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3"/>
        <v>18000000</v>
      </c>
      <c r="AA104" s="45">
        <f t="shared" si="22"/>
        <v>0</v>
      </c>
    </row>
    <row r="105" spans="1:27" ht="18">
      <c r="A105" s="56"/>
      <c r="B105" s="18"/>
      <c r="C105" s="81" t="s">
        <v>92</v>
      </c>
      <c r="D105" s="17">
        <f t="shared" si="20"/>
        <v>2000000</v>
      </c>
      <c r="E105" s="17"/>
      <c r="F105" s="17">
        <f t="shared" si="21"/>
        <v>2000000</v>
      </c>
      <c r="G105" s="17">
        <v>2000000</v>
      </c>
      <c r="H105" s="54"/>
      <c r="I105" s="54"/>
      <c r="J105" s="84">
        <f t="shared" si="16"/>
        <v>0</v>
      </c>
      <c r="K105" s="95">
        <f t="shared" si="18"/>
        <v>0</v>
      </c>
      <c r="L105" s="73"/>
      <c r="M105" s="42">
        <f t="shared" si="19"/>
        <v>400000</v>
      </c>
      <c r="N105" s="87"/>
      <c r="O105" s="87"/>
      <c r="P105" s="87">
        <v>100000</v>
      </c>
      <c r="Q105" s="87"/>
      <c r="R105" s="87">
        <v>300000</v>
      </c>
      <c r="S105" s="87"/>
      <c r="T105" s="87">
        <v>600000</v>
      </c>
      <c r="U105" s="87"/>
      <c r="V105" s="87">
        <v>1000000</v>
      </c>
      <c r="W105" s="87"/>
      <c r="X105" s="87"/>
      <c r="Y105" s="87"/>
      <c r="Z105" s="42">
        <f t="shared" si="23"/>
        <v>2000000</v>
      </c>
      <c r="AA105" s="45">
        <f t="shared" si="22"/>
        <v>0</v>
      </c>
    </row>
    <row r="106" spans="1:27" ht="21.75" customHeight="1">
      <c r="A106" s="56"/>
      <c r="B106" s="18"/>
      <c r="C106" s="81" t="s">
        <v>96</v>
      </c>
      <c r="D106" s="17">
        <f t="shared" si="20"/>
        <v>703240</v>
      </c>
      <c r="E106" s="17"/>
      <c r="F106" s="17">
        <f t="shared" si="21"/>
        <v>703240</v>
      </c>
      <c r="G106" s="17">
        <v>703240</v>
      </c>
      <c r="H106" s="54">
        <f>380144.4</f>
        <v>380144.4</v>
      </c>
      <c r="I106" s="54"/>
      <c r="J106" s="17">
        <f t="shared" si="16"/>
        <v>54.0561401512997</v>
      </c>
      <c r="K106" s="95">
        <f t="shared" si="18"/>
        <v>99.77543307086614</v>
      </c>
      <c r="L106" s="73"/>
      <c r="M106" s="42">
        <f t="shared" si="19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3"/>
        <v>703240</v>
      </c>
      <c r="AA106" s="45">
        <f t="shared" si="22"/>
        <v>0</v>
      </c>
    </row>
    <row r="107" spans="1:27" ht="36">
      <c r="A107" s="56"/>
      <c r="B107" s="18"/>
      <c r="C107" s="81" t="s">
        <v>93</v>
      </c>
      <c r="D107" s="17">
        <f t="shared" si="20"/>
        <v>1002780</v>
      </c>
      <c r="E107" s="17"/>
      <c r="F107" s="17">
        <f t="shared" si="21"/>
        <v>1002780</v>
      </c>
      <c r="G107" s="17">
        <f>9002780-8000000</f>
        <v>1002780</v>
      </c>
      <c r="H107" s="54"/>
      <c r="I107" s="54"/>
      <c r="J107" s="84">
        <f t="shared" si="16"/>
        <v>0</v>
      </c>
      <c r="K107" s="95">
        <f t="shared" si="18"/>
        <v>0</v>
      </c>
      <c r="L107" s="73"/>
      <c r="M107" s="42">
        <f t="shared" si="19"/>
        <v>600000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3"/>
        <v>1002780</v>
      </c>
      <c r="AA107" s="45">
        <f t="shared" si="22"/>
        <v>0</v>
      </c>
    </row>
    <row r="108" spans="1:27" ht="36">
      <c r="A108" s="56"/>
      <c r="B108" s="18"/>
      <c r="C108" s="81" t="s">
        <v>103</v>
      </c>
      <c r="D108" s="17">
        <f t="shared" si="20"/>
        <v>4000000</v>
      </c>
      <c r="E108" s="17"/>
      <c r="F108" s="17">
        <f t="shared" si="21"/>
        <v>4000000</v>
      </c>
      <c r="G108" s="17">
        <v>4000000</v>
      </c>
      <c r="H108" s="54"/>
      <c r="I108" s="54"/>
      <c r="J108" s="84"/>
      <c r="K108" s="95" t="e">
        <f t="shared" si="18"/>
        <v>#DIV/0!</v>
      </c>
      <c r="L108" s="73"/>
      <c r="M108" s="42">
        <f t="shared" si="19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3"/>
        <v>4000000</v>
      </c>
      <c r="AA108" s="45">
        <f t="shared" si="22"/>
        <v>0</v>
      </c>
    </row>
    <row r="109" spans="1:27" ht="36">
      <c r="A109" s="56"/>
      <c r="B109" s="18"/>
      <c r="C109" s="81" t="s">
        <v>94</v>
      </c>
      <c r="D109" s="17">
        <f t="shared" si="20"/>
        <v>22317920</v>
      </c>
      <c r="E109" s="17"/>
      <c r="F109" s="17">
        <f t="shared" si="21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6"/>
        <v>17.90172471269724</v>
      </c>
      <c r="K109" s="95">
        <f t="shared" si="18"/>
        <v>42.05571157894737</v>
      </c>
      <c r="L109" s="73"/>
      <c r="M109" s="42">
        <f t="shared" si="19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3"/>
        <v>22317920</v>
      </c>
      <c r="AA109" s="45">
        <f t="shared" si="22"/>
        <v>0</v>
      </c>
    </row>
    <row r="110" spans="1:27" ht="18">
      <c r="A110" s="56"/>
      <c r="B110" s="18"/>
      <c r="C110" s="81" t="s">
        <v>95</v>
      </c>
      <c r="D110" s="17">
        <f t="shared" si="20"/>
        <v>1000000</v>
      </c>
      <c r="E110" s="17"/>
      <c r="F110" s="17">
        <f t="shared" si="21"/>
        <v>1000000</v>
      </c>
      <c r="G110" s="17">
        <v>1000000</v>
      </c>
      <c r="H110" s="54"/>
      <c r="I110" s="54"/>
      <c r="J110" s="84">
        <f t="shared" si="16"/>
        <v>0</v>
      </c>
      <c r="K110" s="95">
        <f t="shared" si="18"/>
        <v>0</v>
      </c>
      <c r="L110" s="73"/>
      <c r="M110" s="42">
        <f t="shared" si="19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3"/>
        <v>1000000</v>
      </c>
      <c r="AA110" s="45">
        <f t="shared" si="22"/>
        <v>0</v>
      </c>
    </row>
    <row r="111" spans="1:27" ht="18">
      <c r="A111" s="22"/>
      <c r="B111" s="6"/>
      <c r="C111" s="23" t="s">
        <v>12</v>
      </c>
      <c r="D111" s="8">
        <f>D11+D82</f>
        <v>408469613.43</v>
      </c>
      <c r="E111" s="8">
        <f>E11+E82</f>
        <v>148446387.97</v>
      </c>
      <c r="F111" s="8">
        <f>F11+F82</f>
        <v>260023225.45999998</v>
      </c>
      <c r="G111" s="8">
        <f>G11+G82</f>
        <v>260005736.95999998</v>
      </c>
      <c r="H111" s="8">
        <f>H11+H82</f>
        <v>99679751.55000001</v>
      </c>
      <c r="I111" s="8"/>
      <c r="J111" s="8">
        <f>H111/D111*100</f>
        <v>24.40322321970769</v>
      </c>
      <c r="K111" s="8">
        <f>(H111/(N111+O111+P111+Q111+R111))*100</f>
        <v>80.32079349294034</v>
      </c>
      <c r="L111" s="73"/>
      <c r="M111" s="47">
        <f t="shared" si="19"/>
        <v>24422298.759999976</v>
      </c>
      <c r="N111" s="47">
        <f aca="true" t="shared" si="24" ref="N111:Y111">N82+N28+N11</f>
        <v>3100000</v>
      </c>
      <c r="O111" s="47">
        <f t="shared" si="24"/>
        <v>18754577.81</v>
      </c>
      <c r="P111" s="47">
        <f t="shared" si="24"/>
        <v>30315714.619999997</v>
      </c>
      <c r="Q111" s="47">
        <f t="shared" si="24"/>
        <v>26673111.33</v>
      </c>
      <c r="R111" s="47">
        <f t="shared" si="24"/>
        <v>45258646.55</v>
      </c>
      <c r="S111" s="47">
        <f t="shared" si="24"/>
        <v>15630442.4</v>
      </c>
      <c r="T111" s="47">
        <f t="shared" si="24"/>
        <v>47406892.89</v>
      </c>
      <c r="U111" s="47">
        <f t="shared" si="24"/>
        <v>59796145.57</v>
      </c>
      <c r="V111" s="47">
        <f t="shared" si="24"/>
        <v>33279256.28</v>
      </c>
      <c r="W111" s="47">
        <f t="shared" si="24"/>
        <v>42655986.42</v>
      </c>
      <c r="X111" s="47">
        <f t="shared" si="24"/>
        <v>55619325.87</v>
      </c>
      <c r="Y111" s="47">
        <f t="shared" si="24"/>
        <v>29979513.69</v>
      </c>
      <c r="Z111" s="42">
        <f t="shared" si="23"/>
        <v>408469613.42999995</v>
      </c>
      <c r="AA111" s="45">
        <f t="shared" si="22"/>
        <v>0</v>
      </c>
    </row>
    <row r="112" ht="12.75">
      <c r="AA112" s="45"/>
    </row>
  </sheetData>
  <sheetProtection/>
  <mergeCells count="29"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F7:F8"/>
    <mergeCell ref="O8:O9"/>
    <mergeCell ref="K20:K27"/>
    <mergeCell ref="K7:K8"/>
    <mergeCell ref="V8:V9"/>
    <mergeCell ref="W8:W9"/>
    <mergeCell ref="P8:P9"/>
    <mergeCell ref="Q8:Q9"/>
    <mergeCell ref="R8:R9"/>
    <mergeCell ref="S8:S9"/>
    <mergeCell ref="T8:T9"/>
    <mergeCell ref="U8:U9"/>
    <mergeCell ref="A81:G81"/>
    <mergeCell ref="D1:E1"/>
    <mergeCell ref="A7:A8"/>
    <mergeCell ref="C7:C8"/>
    <mergeCell ref="D7:D8"/>
    <mergeCell ref="E7:E8"/>
    <mergeCell ref="A3:J3"/>
    <mergeCell ref="A4:J4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2019-05-23T11:25:49Z</dcterms:modified>
  <cp:category/>
  <cp:version/>
  <cp:contentType/>
  <cp:contentStatus/>
</cp:coreProperties>
</file>